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<sst xmlns="http://schemas.openxmlformats.org/spreadsheetml/2006/main" count="37" uniqueCount="36">
  <si>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2004tavasz</t>
  </si>
  <si>
    <t>2004ősz</t>
  </si>
  <si>
    <t>2005tavasz</t>
  </si>
  <si>
    <t>figyelmen kivul hagytam</t>
  </si>
  <si>
    <t>2005ősz</t>
  </si>
  <si>
    <t>*itt ugye a nagy szam azt jelenti, hogy a ket korabbi adatsorba kb uannyit adtunk mig most nagyon nem</t>
  </si>
  <si>
    <t>2006tavasz</t>
  </si>
  <si>
    <t>2006ősz</t>
  </si>
  <si>
    <t>Ami meg erdekes lehet, hogy a tisztsegviselos palyazaton beluli elosztas hogy valtozott, engem legalabbis erdekelne.</t>
  </si>
  <si>
    <t>ha vkinek van mas otlete, hogy mi alapjan erdemes nezegetni a statisztikat, akkor irjon en biztos konnyen</t>
  </si>
  <si>
    <t>mint ahol mar eddig se tudtuk mihez tartani magunkat vagy olyan tevekenyseg ami esetleg evrol evre</t>
  </si>
  <si>
    <t xml:space="preserve">2005 osz es 2004 osz </t>
  </si>
  <si>
    <t>elteres aranyanak</t>
  </si>
  <si>
    <t>Leginkabb problema ha eddig kovetkezetesek voltunk vhol, azaz felteheto, hogy volt vmi amihez viszonyitottunk es most az megszunt.</t>
  </si>
  <si>
    <t>sport</t>
  </si>
  <si>
    <t>**Mint lathatjatok osszeadtam az oszlop aljan, hogy melyik felevben mennyi penzt osztottunk ki.</t>
  </si>
  <si>
    <t>Aztan az is lehet gond, hogy ha allandoan elteresek vannak, bar itt azert ennek mar sokkal inkabb lehet objektiv oka.</t>
  </si>
  <si>
    <t>osszesen**</t>
  </si>
  <si>
    <t>nezni a dolgokat, hatha az elteresek egy resze ebbol adodik. Mivel nincs erdemi elteres, igy vegul ezt</t>
  </si>
  <si>
    <t>jol hasznalhato formaban, azert nem kuldte el Tamas.</t>
  </si>
  <si>
    <t>Komment: Az, hogy tenyleg ezeket a szamokat erdemes nezni, es ezek valoban relevansak, nem biztos,</t>
  </si>
  <si>
    <t>ezt azert tartom erdekesnek, mert ahol korabban nem volt ingadozas es most lett az jelentosebb problema</t>
  </si>
  <si>
    <t>ez ugye egy nagyon nagy szam lett volna</t>
  </si>
  <si>
    <t>Szinten kerdes, hogy a nyilt nap elso osszel tenyleg csak 2000 Ft kapott-e es ha igen mi valtozott azota ennyire.</t>
  </si>
  <si>
    <t>meggyozheto leszek. Azert irtam ezeket, mert nekem most igy elsore ezek tuntek fontosnak.</t>
  </si>
  <si>
    <t>sport%</t>
  </si>
  <si>
    <t>jelentosen valtozik. (Tehat most igy elsore nekem ez tunik leginkabb relevansnak)</t>
  </si>
  <si>
    <t>atlaghoz kepest</t>
  </si>
  <si>
    <t>oszi atlaghoz kepest</t>
  </si>
  <si>
    <t>kozti elteres</t>
  </si>
  <si>
    <t>itt meg csak tovabbjott a hiba</t>
  </si>
  <si>
    <t>valtozasa*</t>
  </si>
  <si>
    <t>Azaz ha az utolso oszlopba 2-nel nagyobb szam van, szerintem gond.</t>
  </si>
  <si>
    <t>pr</t>
  </si>
  <si>
    <t>Ezt azert tettem meg, mert arra gondoltam, ha ez valtozik, akkor ertelmesebb ezzel is sulyozva</t>
  </si>
  <si>
    <t>Vegul a statiszkizassal a gond, hogy csak ket oszi felev volt, engem nagyon erdekelne az elso ilyen osztas is, gondolom az nem volt meg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</si>
</sst>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0.0;[Red]0.0"/>
    <numFmt numFmtId="52" formatCode="0.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50" fontId="0" fillId="0" borderId="1" xfId="0" applyNumberFormat="1" applyFont="1" applyFill="1" applyBorder="1" applyAlignment="1" applyProtection="1">
      <alignment/>
      <protection/>
    </xf>
    <xf numFmtId="9" fontId="0" fillId="0" borderId="2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2" fontId="0" fillId="0" borderId="3" xfId="0" applyNumberFormat="1" applyFont="1" applyFill="1" applyBorder="1" applyAlignment="1" applyProtection="1">
      <alignment/>
      <protection/>
    </xf>
    <xf numFmtId="50" fontId="2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9" fontId="0" fillId="0" borderId="4" xfId="0" applyNumberFormat="1" applyFont="1" applyFill="1" applyBorder="1" applyAlignment="1" applyProtection="1">
      <alignment/>
      <protection/>
    </xf>
    <xf numFmtId="9" fontId="0" fillId="0" borderId="5" xfId="0" applyNumberFormat="1" applyFont="1" applyFill="1" applyBorder="1" applyAlignment="1" applyProtection="1">
      <alignment/>
      <protection/>
    </xf>
    <xf numFmtId="9" fontId="0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50" fontId="0" fillId="0" borderId="4" xfId="0" applyNumberFormat="1" applyFont="1" applyFill="1" applyBorder="1" applyAlignment="1" applyProtection="1">
      <alignment/>
      <protection/>
    </xf>
    <xf numFmtId="50" fontId="0" fillId="0" borderId="6" xfId="0" applyNumberFormat="1" applyFont="1" applyFill="1" applyBorder="1" applyAlignment="1" applyProtection="1">
      <alignment/>
      <protection/>
    </xf>
    <xf numFmtId="50" fontId="0" fillId="0" borderId="7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9" fontId="0" fillId="0" borderId="8" xfId="0" applyNumberFormat="1" applyFont="1" applyFill="1" applyBorder="1" applyAlignment="1" applyProtection="1">
      <alignment/>
      <protection/>
    </xf>
    <xf numFmtId="50" fontId="0" fillId="0" borderId="9" xfId="0" applyNumberFormat="1" applyFont="1" applyFill="1" applyBorder="1" applyAlignment="1" applyProtection="1">
      <alignment/>
      <protection/>
    </xf>
    <xf numFmtId="52" fontId="0" fillId="0" borderId="1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1" workbookViewId="0" topLeftCell="A19">
      <selection activeCell="A47" sqref="A47"/>
    </sheetView>
  </sheetViews>
  <sheetFormatPr defaultColWidth="9.140625" defaultRowHeight="12.75"/>
  <cols>
    <col min="1" max="1" width="19.7109375" style="1" customWidth="1"/>
    <col min="2" max="2" width="10.28125" style="1" customWidth="1"/>
    <col min="3" max="7" width="10.57421875" style="1" customWidth="1"/>
    <col min="8" max="256" width="9.00390625" style="1" customWidth="1"/>
  </cols>
  <sheetData>
    <row r="1" spans="2:7" ht="12">
      <c r="B1" s="1" t="s">
        <v>0</v>
      </c>
      <c r="C1" s="1" t="s">
        <v>1</v>
      </c>
      <c r="D1" s="1" t="s">
        <v>2</v>
      </c>
      <c r="E1" s="1" t="s">
        <v>4</v>
      </c>
      <c r="F1" s="1" t="s">
        <v>6</v>
      </c>
      <c r="G1" s="1" t="s">
        <v>7</v>
      </c>
    </row>
    <row r="2" spans="2:7" ht="12">
      <c r="B2" s="1">
        <v>2446400</v>
      </c>
      <c r="C2" s="1">
        <v>2740800</v>
      </c>
      <c r="D2" s="1">
        <v>2925000</v>
      </c>
      <c r="E2" s="1">
        <v>2623200</v>
      </c>
      <c r="F2" s="1">
        <v>2500000</v>
      </c>
      <c r="G2" s="1">
        <v>2624400</v>
      </c>
    </row>
    <row r="3" spans="2:16" ht="12">
      <c r="B3" s="1">
        <v>1200</v>
      </c>
      <c r="C3" s="1">
        <v>1200</v>
      </c>
      <c r="D3" s="1">
        <v>1300</v>
      </c>
      <c r="E3" s="1">
        <v>900</v>
      </c>
      <c r="F3" s="1">
        <v>1100</v>
      </c>
      <c r="G3" s="1">
        <v>1200</v>
      </c>
      <c r="M3" s="1" t="s">
        <v>11</v>
      </c>
      <c r="P3" s="1" t="s">
        <v>12</v>
      </c>
    </row>
    <row r="4" spans="8:16" ht="12">
      <c r="H4" s="1" t="s">
        <v>27</v>
      </c>
      <c r="J4" s="1" t="s">
        <v>28</v>
      </c>
      <c r="M4" s="11" t="s">
        <v>29</v>
      </c>
      <c r="P4" s="1" t="s">
        <v>31</v>
      </c>
    </row>
    <row r="5" spans="2:17" ht="13.5">
      <c r="B5" s="1">
        <v>192000</v>
      </c>
      <c r="C5" s="1">
        <v>240000</v>
      </c>
      <c r="D5" s="1">
        <v>325000</v>
      </c>
      <c r="E5" s="1">
        <v>225900</v>
      </c>
      <c r="F5" s="1">
        <v>330000</v>
      </c>
      <c r="G5" s="1">
        <v>360000</v>
      </c>
      <c r="H5" s="17">
        <f>G5-SUM(B5:F5)/5</f>
        <v>97420</v>
      </c>
      <c r="I5" s="8">
        <f>H5/SUM(B5:F5)*5</f>
        <v>0.3710107395841267</v>
      </c>
      <c r="J5" s="12">
        <f>G5-(E5+C5)/2</f>
        <v>127050</v>
      </c>
      <c r="K5" s="9">
        <f>J5/(C5+E5)*2</f>
        <v>0.54539600772698</v>
      </c>
      <c r="M5" s="17">
        <f>E5-C5</f>
        <v>-14100</v>
      </c>
      <c r="N5" s="9">
        <f>M5/C5</f>
        <v>-0.05875</v>
      </c>
      <c r="P5" s="18">
        <f>MAX(ABS(K5)/ABS(N5),ABS(N5)/ABS(K5))</f>
        <v>9.283336301735831</v>
      </c>
      <c r="Q5" s="4"/>
    </row>
    <row r="6" spans="2:17" ht="13.5">
      <c r="B6" s="1">
        <f>456000+42000+18000</f>
        <v>516000</v>
      </c>
      <c r="C6" s="1">
        <f>480000+60000+24600</f>
        <v>564600</v>
      </c>
      <c r="D6" s="1">
        <f>26000+39000+455000</f>
        <v>520000</v>
      </c>
      <c r="E6" s="1">
        <f>22500+27000+342000+27000</f>
        <v>418500</v>
      </c>
      <c r="F6" s="1">
        <f>88000+441100+33000+22000</f>
        <v>584100</v>
      </c>
      <c r="G6" s="1">
        <v>568800</v>
      </c>
      <c r="H6" s="13">
        <f>G6-SUM(B6:F6)/5</f>
        <v>48160</v>
      </c>
      <c r="I6" s="7">
        <f>H6/SUM(B6:F6)*5</f>
        <v>0.09250153657037492</v>
      </c>
      <c r="J6" s="1">
        <f>G6-(E6+C6)/2</f>
        <v>77250</v>
      </c>
      <c r="K6" s="3">
        <f>J6/(C6+E6)*2</f>
        <v>0.15715593530668295</v>
      </c>
      <c r="M6" s="13">
        <f>E6-C6</f>
        <v>-146100</v>
      </c>
      <c r="N6" s="3">
        <f>M6/C6</f>
        <v>-0.2587672688629118</v>
      </c>
      <c r="P6" s="5">
        <f>ABS(K6)/ABS(N6)</f>
        <v>0.6073254009182286</v>
      </c>
      <c r="Q6" s="4"/>
    </row>
    <row r="7" spans="2:17" ht="13.5">
      <c r="B7" s="1">
        <v>200000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3"/>
      <c r="I7" s="7"/>
      <c r="K7" s="3"/>
      <c r="M7" s="13"/>
      <c r="N7" s="3"/>
      <c r="P7" s="5"/>
      <c r="Q7" s="4"/>
    </row>
    <row r="8" spans="2:17" ht="13.5">
      <c r="B8" s="1">
        <v>48000</v>
      </c>
      <c r="C8" s="1">
        <f>36000+63600</f>
        <v>99600</v>
      </c>
      <c r="D8" s="1">
        <f>30000+22000+41600</f>
        <v>93600</v>
      </c>
      <c r="E8" s="1">
        <f>18000+19800+27000+10800+20700+9000+23400+27000</f>
        <v>155700</v>
      </c>
      <c r="F8" s="1">
        <f>11000+11000+6600</f>
        <v>28600</v>
      </c>
      <c r="G8" s="1">
        <v>34800</v>
      </c>
      <c r="H8" s="13">
        <f>G8-SUM(B8:F8)/5</f>
        <v>-50300</v>
      </c>
      <c r="I8" s="7">
        <f>H8/SUM(B8:F8)*5</f>
        <v>-0.591069330199765</v>
      </c>
      <c r="J8" s="1">
        <f>G8-(E8+C8)/2</f>
        <v>-92850</v>
      </c>
      <c r="K8" s="3">
        <f>J8/(C8+E8)*2</f>
        <v>-0.72737955346651</v>
      </c>
      <c r="M8" s="13">
        <f>E8-C8</f>
        <v>56100</v>
      </c>
      <c r="N8" s="3">
        <f>M8/C8</f>
        <v>0.5632530120481928</v>
      </c>
      <c r="P8" s="5">
        <f>ABS(K8)/ABS(N8)</f>
        <v>1.2913904371704883</v>
      </c>
      <c r="Q8" s="4"/>
    </row>
    <row r="9" spans="2:17" ht="13.5">
      <c r="B9" s="1">
        <v>12000</v>
      </c>
      <c r="C9" s="1">
        <v>40800</v>
      </c>
      <c r="D9" s="1">
        <v>61100</v>
      </c>
      <c r="E9" s="1">
        <f>30600+7200+13500+16200</f>
        <v>67500</v>
      </c>
      <c r="F9" s="1">
        <f>27500+5500</f>
        <v>33000</v>
      </c>
      <c r="G9" s="1">
        <f>30000+6000+2400+7200+36000</f>
        <v>81600</v>
      </c>
      <c r="H9" s="13">
        <f>G9-SUM(B9:F9)/5</f>
        <v>38720</v>
      </c>
      <c r="I9" s="7">
        <f>H9/SUM(B9:F9)*5</f>
        <v>0.9029850746268657</v>
      </c>
      <c r="J9" s="1">
        <f>G9-(E9+C9)/2</f>
        <v>27450</v>
      </c>
      <c r="K9" s="3">
        <f>J9/(C9+E9)*2</f>
        <v>0.5069252077562327</v>
      </c>
      <c r="M9" s="13">
        <f>E9-C9</f>
        <v>26700</v>
      </c>
      <c r="N9" s="3">
        <f>M9/C9</f>
        <v>0.6544117647058824</v>
      </c>
      <c r="P9" s="5">
        <f>ABS(K9)/ABS(N9)</f>
        <v>0.7746272837623331</v>
      </c>
      <c r="Q9" s="4"/>
    </row>
    <row r="10" spans="2:17" ht="13.5">
      <c r="B10" s="1">
        <v>0</v>
      </c>
      <c r="C10" s="1">
        <f>19200+18000+10800</f>
        <v>48000</v>
      </c>
      <c r="D10" s="1">
        <v>30000</v>
      </c>
      <c r="E10" s="1">
        <v>1800</v>
      </c>
      <c r="F10" s="1">
        <v>11000</v>
      </c>
      <c r="G10" s="1">
        <v>0</v>
      </c>
      <c r="H10" s="13">
        <f>G10-SUM(B10:F10)/5</f>
        <v>-18160</v>
      </c>
      <c r="I10" s="7">
        <f>H10/SUM(B10:F10)*5</f>
        <v>-1</v>
      </c>
      <c r="J10" s="1">
        <f>G10-(E10+C10)/2</f>
        <v>-24900</v>
      </c>
      <c r="K10" s="3">
        <f>J10/(C10+E10)*2</f>
        <v>-1</v>
      </c>
      <c r="M10" s="13">
        <f>E10-C10</f>
        <v>-46200</v>
      </c>
      <c r="N10" s="3">
        <f>M10/C10</f>
        <v>-0.9625</v>
      </c>
      <c r="P10" s="5">
        <f>ABS(K10)/ABS(N10)</f>
        <v>1.0389610389610389</v>
      </c>
      <c r="Q10" s="4"/>
    </row>
    <row r="11" spans="2:17" ht="13.5">
      <c r="B11" s="1">
        <v>0</v>
      </c>
      <c r="C11" s="1">
        <v>31200</v>
      </c>
      <c r="D11" s="1">
        <v>0</v>
      </c>
      <c r="E11" s="1">
        <f>22500+20700</f>
        <v>43200</v>
      </c>
      <c r="F11" s="1">
        <f>13200+6600</f>
        <v>19800</v>
      </c>
      <c r="G11" s="1">
        <f>7200+33600+30000</f>
        <v>70800</v>
      </c>
      <c r="H11" s="13">
        <f>G11-SUM(B11:F11)/5</f>
        <v>51960</v>
      </c>
      <c r="I11" s="7">
        <f>H11/SUM(B11:F11)*5</f>
        <v>2.7579617834394905</v>
      </c>
      <c r="J11" s="1">
        <f>G11-(E11+C11)/2</f>
        <v>33600</v>
      </c>
      <c r="K11" s="3">
        <f>J11/(C11+E11)*2</f>
        <v>0.9032258064516129</v>
      </c>
      <c r="M11" s="13">
        <f>E11-C11</f>
        <v>12000</v>
      </c>
      <c r="N11" s="3">
        <f>M11/C11</f>
        <v>0.38461538461538464</v>
      </c>
      <c r="P11" s="5">
        <f>ABS(K11)/ABS(N11)</f>
        <v>2.3483870967741933</v>
      </c>
      <c r="Q11" s="4"/>
    </row>
    <row r="12" spans="2:17" ht="13.5">
      <c r="B12" s="1">
        <v>203000</v>
      </c>
      <c r="C12" s="1">
        <v>120000</v>
      </c>
      <c r="D12" s="1">
        <f>45500+52000+19500</f>
        <v>117000</v>
      </c>
      <c r="E12" s="1">
        <f>54000+36000+36000</f>
        <v>126000</v>
      </c>
      <c r="F12" s="1">
        <f>55000+55000+55000</f>
        <v>165000</v>
      </c>
      <c r="G12" s="1">
        <f>12000+21600+42000+14400+14400+14400+48000+43200+36000</f>
        <v>246000</v>
      </c>
      <c r="H12" s="13">
        <f>G12-SUM(B12:F12)/5</f>
        <v>99800</v>
      </c>
      <c r="I12" s="7">
        <f>H12/SUM(B12:F12)*5</f>
        <v>0.6826265389876882</v>
      </c>
      <c r="J12" s="1">
        <f>G12-(E12+C12)/2</f>
        <v>123000</v>
      </c>
      <c r="K12" s="3">
        <f>J12/(C12+E12)*2</f>
        <v>1</v>
      </c>
      <c r="M12" s="13">
        <f>E12-C12</f>
        <v>6000</v>
      </c>
      <c r="N12" s="3">
        <f>M12/C12</f>
        <v>0.05</v>
      </c>
      <c r="P12" s="5">
        <f>ABS(K12)/ABS(N12)</f>
        <v>20</v>
      </c>
      <c r="Q12" s="4"/>
    </row>
    <row r="13" spans="2:17" ht="13.5">
      <c r="B13" s="1">
        <f>174000+72000</f>
        <v>246000</v>
      </c>
      <c r="C13" s="1">
        <f>430000</f>
        <v>430000</v>
      </c>
      <c r="D13" s="1">
        <f>423000+65000</f>
        <v>488000</v>
      </c>
      <c r="E13" s="1">
        <f>39600+27000+24300+27000+40500+15300+45000+62100+22500</f>
        <v>303300</v>
      </c>
      <c r="F13" s="1">
        <f>176000+33000</f>
        <v>209000</v>
      </c>
      <c r="G13" s="1">
        <f>108000+72000</f>
        <v>180000</v>
      </c>
      <c r="H13" s="13">
        <f>G13-SUM(B13:F13)/5</f>
        <v>-155260</v>
      </c>
      <c r="I13" s="7">
        <f>H13/SUM(B13:F13)*5</f>
        <v>-0.46310326313905625</v>
      </c>
      <c r="J13" s="1">
        <f>G13-(E13+C13)/2</f>
        <v>-186650</v>
      </c>
      <c r="K13" s="3">
        <f>J13/(C13+E13)*2</f>
        <v>-0.5090685940270012</v>
      </c>
      <c r="M13" s="13">
        <f>E13-C13</f>
        <v>-126700</v>
      </c>
      <c r="N13" s="3">
        <f>M13/C13</f>
        <v>-0.2946511627906977</v>
      </c>
      <c r="P13" s="5">
        <f>ABS(K13)/ABS(N13)</f>
        <v>1.7276992536038713</v>
      </c>
      <c r="Q13" s="4"/>
    </row>
    <row r="14" spans="2:17" ht="13.5">
      <c r="B14" s="1">
        <v>343000</v>
      </c>
      <c r="C14" s="1">
        <v>240000</v>
      </c>
      <c r="D14" s="1">
        <v>130000</v>
      </c>
      <c r="E14" s="1">
        <f>40500+23400</f>
        <v>63900</v>
      </c>
      <c r="F14" s="1">
        <f>165000+88000+3300</f>
        <v>256300</v>
      </c>
      <c r="G14" s="1">
        <f>72000+15600</f>
        <v>87600</v>
      </c>
      <c r="H14" s="13">
        <f>G14-SUM(B14:F14)/5</f>
        <v>-119040</v>
      </c>
      <c r="I14" s="7">
        <f>H14/SUM(B14:F14)*5</f>
        <v>-0.5760743321718932</v>
      </c>
      <c r="J14" s="1">
        <f>G14-(E14+C14)/2</f>
        <v>-64350</v>
      </c>
      <c r="K14" s="3">
        <f>J14/(C14+E14)*2</f>
        <v>-0.42349457058242845</v>
      </c>
      <c r="M14" s="13">
        <f>E14-C14</f>
        <v>-176100</v>
      </c>
      <c r="N14" s="3">
        <f>M14/C14</f>
        <v>-0.73375</v>
      </c>
      <c r="P14" s="5">
        <f>ABS(K14)/ABS(N14)</f>
        <v>0.5771646617818446</v>
      </c>
      <c r="Q14" s="4"/>
    </row>
    <row r="15" spans="2:17" ht="13.5">
      <c r="B15" s="1">
        <v>192000</v>
      </c>
      <c r="C15" s="1">
        <v>237000</v>
      </c>
      <c r="D15" s="1">
        <v>130000</v>
      </c>
      <c r="E15" s="1">
        <f>31500+270000</f>
        <v>301500</v>
      </c>
      <c r="F15" s="1">
        <f>75900+38500</f>
        <v>114400</v>
      </c>
      <c r="G15" s="1">
        <f>51600+4800+12000</f>
        <v>68400</v>
      </c>
      <c r="H15" s="13">
        <f>G15-SUM(B15:F15)/5</f>
        <v>-126580</v>
      </c>
      <c r="I15" s="7">
        <f>H15/SUM(B15:F15)*5</f>
        <v>-0.6491947892091497</v>
      </c>
      <c r="J15" s="1">
        <f>G15-(E15+C15)/2</f>
        <v>-200850</v>
      </c>
      <c r="K15" s="3">
        <f>J15/(C15+E15)*2</f>
        <v>-0.7459610027855154</v>
      </c>
      <c r="M15" s="13">
        <f>E15-C15</f>
        <v>64500</v>
      </c>
      <c r="N15" s="3">
        <f>M15/C15</f>
        <v>0.2721518987341772</v>
      </c>
      <c r="P15" s="5">
        <f>ABS(K15)/ABS(N15)</f>
        <v>2.7409729869793353</v>
      </c>
      <c r="Q15" s="4"/>
    </row>
    <row r="16" spans="2:17" ht="13.5">
      <c r="B16" s="1">
        <v>72000</v>
      </c>
      <c r="C16" s="1">
        <v>72000</v>
      </c>
      <c r="D16" s="1">
        <v>58500</v>
      </c>
      <c r="E16" s="1">
        <v>72000</v>
      </c>
      <c r="F16" s="1">
        <v>99000</v>
      </c>
      <c r="G16" s="1">
        <v>18000</v>
      </c>
      <c r="H16" s="13">
        <f>G16-SUM(B16:F16)/5</f>
        <v>-56700</v>
      </c>
      <c r="I16" s="7">
        <f>H16/SUM(B16:F16)*5</f>
        <v>-0.7590361445783133</v>
      </c>
      <c r="J16" s="1">
        <f>G16-(E16+C16)/2</f>
        <v>-54000</v>
      </c>
      <c r="K16" s="3">
        <f>J16/(C16+E16)*2</f>
        <v>-0.75</v>
      </c>
      <c r="M16" s="13">
        <f>E16-C16</f>
        <v>0</v>
      </c>
      <c r="N16" s="3">
        <f>M16/C16</f>
        <v>0</v>
      </c>
      <c r="P16" s="5" t="e">
        <f>ABS(K16)/ABS(N16)</f>
        <v>#DIV/0!</v>
      </c>
      <c r="Q16" s="4" t="s">
        <v>22</v>
      </c>
    </row>
    <row r="17" spans="2:17" ht="13.5">
      <c r="B17" s="1">
        <v>72000</v>
      </c>
      <c r="C17" s="1">
        <v>24000</v>
      </c>
      <c r="D17" s="1">
        <v>58500</v>
      </c>
      <c r="E17" s="1">
        <v>10800</v>
      </c>
      <c r="F17" s="1">
        <v>33000</v>
      </c>
      <c r="G17" s="1">
        <v>34800</v>
      </c>
      <c r="H17" s="13">
        <f>G17-SUM(B17:F17)/5</f>
        <v>-4860</v>
      </c>
      <c r="I17" s="7">
        <f>H17/SUM(B17:F17)*5</f>
        <v>-0.12254160363086233</v>
      </c>
      <c r="J17" s="1">
        <f>G17-(E17+C17)/2</f>
        <v>17400</v>
      </c>
      <c r="K17" s="3">
        <f>J17/(C17+E17)*2</f>
        <v>1</v>
      </c>
      <c r="M17" s="13">
        <f>E17-C17</f>
        <v>-13200</v>
      </c>
      <c r="N17" s="3">
        <f>M17/C17</f>
        <v>-0.55</v>
      </c>
      <c r="P17" s="5">
        <f>ABS(K17)/ABS(N17)</f>
        <v>1.8181818181818181</v>
      </c>
      <c r="Q17" s="4"/>
    </row>
    <row r="18" spans="2:17" ht="13.5">
      <c r="B18" s="1">
        <v>48000</v>
      </c>
      <c r="C18" s="1">
        <v>8400</v>
      </c>
      <c r="D18" s="1">
        <v>43000</v>
      </c>
      <c r="E18" s="1">
        <v>16200</v>
      </c>
      <c r="F18" s="1">
        <f>11000+3300+9900+5500+5500</f>
        <v>35200</v>
      </c>
      <c r="G18" s="1">
        <f>4800+12000+1200</f>
        <v>18000</v>
      </c>
      <c r="H18" s="13">
        <f>G18-SUM(B18:F18)/5</f>
        <v>-12160</v>
      </c>
      <c r="I18" s="7">
        <f>H18/SUM(B18:F18)*5</f>
        <v>-0.40318302387267907</v>
      </c>
      <c r="J18" s="1">
        <f>G18-(E18+C18)/2</f>
        <v>5700</v>
      </c>
      <c r="K18" s="3">
        <f>J18/(C18+E18)*2</f>
        <v>0.4634146341463415</v>
      </c>
      <c r="M18" s="13">
        <f>E18-C18</f>
        <v>7800</v>
      </c>
      <c r="N18" s="3">
        <f>M18/C18</f>
        <v>0.9285714285714286</v>
      </c>
      <c r="P18" s="5">
        <f>ABS(K18)/ABS(N18)</f>
        <v>0.49906191369606007</v>
      </c>
      <c r="Q18" s="4"/>
    </row>
    <row r="19" spans="1:17" ht="12">
      <c r="A19" s="1" t="s">
        <v>14</v>
      </c>
      <c r="B19" s="1">
        <v>104000</v>
      </c>
      <c r="C19" s="1">
        <f>32400+78000+4800+21600</f>
        <v>136800</v>
      </c>
      <c r="D19" s="1">
        <f>52000+52000</f>
        <v>104000</v>
      </c>
      <c r="E19" s="1">
        <f>135000+10800</f>
        <v>145800</v>
      </c>
      <c r="F19" s="1">
        <f>143000+22000</f>
        <v>165000</v>
      </c>
      <c r="G19" s="1">
        <v>238800</v>
      </c>
      <c r="H19" s="13">
        <f>G19-SUM(B19:F19)/5</f>
        <v>107680</v>
      </c>
      <c r="I19" s="7">
        <f>H19/SUM(B19:F19)*5</f>
        <v>0.8212324588163513</v>
      </c>
      <c r="J19" s="1">
        <f>G19-(E19+C19)/2</f>
        <v>97500</v>
      </c>
      <c r="K19" s="3">
        <f>J19/(C19+E19)*2</f>
        <v>0.6900212314225053</v>
      </c>
      <c r="M19" s="13">
        <f>E19-C19</f>
        <v>9000</v>
      </c>
      <c r="N19" s="3">
        <f>M19/C19</f>
        <v>0.06578947368421052</v>
      </c>
      <c r="P19" s="5">
        <f>ABS(K19)/ABS(N19)</f>
        <v>10.488322717622081</v>
      </c>
      <c r="Q19" s="4"/>
    </row>
    <row r="20" spans="1:17" ht="12">
      <c r="A20" s="1" t="s">
        <v>33</v>
      </c>
      <c r="B20" s="1">
        <v>12000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3"/>
      <c r="I20" s="7"/>
      <c r="K20" s="3"/>
      <c r="M20" s="13"/>
      <c r="N20" s="3"/>
      <c r="P20" s="5"/>
      <c r="Q20" s="4"/>
    </row>
    <row r="21" spans="2:17" ht="13.5">
      <c r="B21" s="1">
        <v>24000</v>
      </c>
      <c r="C21" s="1">
        <v>26400</v>
      </c>
      <c r="D21" s="1">
        <f>195000+45500</f>
        <v>240500</v>
      </c>
      <c r="E21" s="1">
        <f>22500+31500+27000</f>
        <v>81000</v>
      </c>
      <c r="F21" s="1">
        <f>23100+22000+8800+27500+8800</f>
        <v>90200</v>
      </c>
      <c r="G21" s="1">
        <f>14400+2400</f>
        <v>16800</v>
      </c>
      <c r="H21" s="13">
        <f>G21-SUM(B21:F21)/5</f>
        <v>-75620</v>
      </c>
      <c r="I21" s="7">
        <f>H21/SUM(B21:F21)*5</f>
        <v>-0.8182211642501623</v>
      </c>
      <c r="J21" s="1">
        <f>G21-(E21+C21)/2</f>
        <v>-36900</v>
      </c>
      <c r="K21" s="3">
        <f>J21/(C21+E21)*2</f>
        <v>-0.6871508379888268</v>
      </c>
      <c r="M21" s="13">
        <f>E21-C21</f>
        <v>54600</v>
      </c>
      <c r="N21" s="3">
        <f>M21/C21</f>
        <v>2.0681818181818183</v>
      </c>
      <c r="P21" s="5">
        <f>ABS(K21)/ABS(N21)</f>
        <v>0.3322487568297624</v>
      </c>
      <c r="Q21" s="4"/>
    </row>
    <row r="22" spans="2:17" ht="13.5">
      <c r="B22" s="1">
        <v>42000</v>
      </c>
      <c r="C22" s="1">
        <v>0</v>
      </c>
      <c r="D22" s="1">
        <v>58500</v>
      </c>
      <c r="E22" s="1">
        <v>0</v>
      </c>
      <c r="F22" s="1">
        <v>55000</v>
      </c>
      <c r="G22" s="1">
        <v>0</v>
      </c>
      <c r="H22" s="13"/>
      <c r="I22" s="7"/>
      <c r="K22" s="3"/>
      <c r="M22" s="13"/>
      <c r="N22" s="3"/>
      <c r="P22" s="5"/>
      <c r="Q22" s="4"/>
    </row>
    <row r="23" spans="2:17" ht="13.5">
      <c r="B23" s="1">
        <v>0</v>
      </c>
      <c r="C23" s="1">
        <v>72000</v>
      </c>
      <c r="D23" s="1">
        <v>0</v>
      </c>
      <c r="E23" s="1">
        <v>40500</v>
      </c>
      <c r="F23" s="1">
        <f>8800+16500+11000</f>
        <v>36300</v>
      </c>
      <c r="G23" s="1">
        <v>10800</v>
      </c>
      <c r="H23" s="13">
        <f>G23-SUM(B23:F23)/5</f>
        <v>-18960</v>
      </c>
      <c r="I23" s="7">
        <f>H23/SUM(B23:F23)*5</f>
        <v>-0.6370967741935484</v>
      </c>
      <c r="J23" s="1">
        <f>G23-(E23+C23)/2</f>
        <v>-45450</v>
      </c>
      <c r="K23" s="3">
        <f>J23/(C23+E23)*2</f>
        <v>-0.808</v>
      </c>
      <c r="M23" s="13">
        <f>E23-C23</f>
        <v>-31500</v>
      </c>
      <c r="N23" s="3">
        <f>M23/C23</f>
        <v>-0.4375</v>
      </c>
      <c r="P23" s="5">
        <f>ABS(K23)/ABS(N23)</f>
        <v>1.846857142857143</v>
      </c>
      <c r="Q23" s="4"/>
    </row>
    <row r="24" spans="2:17" ht="13.5">
      <c r="B24" s="1">
        <v>0</v>
      </c>
      <c r="C24" s="1">
        <v>2000</v>
      </c>
      <c r="D24" s="1">
        <f>182000+36000</f>
        <v>218000</v>
      </c>
      <c r="E24" s="1">
        <v>144000</v>
      </c>
      <c r="F24" s="1">
        <f>154000+11000+55000</f>
        <v>220000</v>
      </c>
      <c r="G24" s="1">
        <v>120000</v>
      </c>
      <c r="H24" s="13">
        <f>G24-SUM(B24:F24)/5</f>
        <v>3200</v>
      </c>
      <c r="I24" s="7">
        <f>H24/SUM(B24:F24)*5</f>
        <v>0.0273972602739726</v>
      </c>
      <c r="J24" s="1">
        <f>G24-(E24+C24)/2</f>
        <v>47000</v>
      </c>
      <c r="K24" s="3">
        <f>J24/(C24+E24)*2</f>
        <v>0.6438356164383562</v>
      </c>
      <c r="M24" s="13">
        <f>E24-C24</f>
        <v>142000</v>
      </c>
      <c r="N24" s="3">
        <f>M24/C24</f>
        <v>71</v>
      </c>
      <c r="P24" s="5">
        <f>ABS(K24)/ABS(N24)</f>
        <v>0.009068107273779664</v>
      </c>
      <c r="Q24" s="4"/>
    </row>
    <row r="25" spans="2:17" ht="13.5">
      <c r="B25" s="1">
        <v>19000</v>
      </c>
      <c r="C25" s="1">
        <v>0</v>
      </c>
      <c r="D25" s="1">
        <v>0</v>
      </c>
      <c r="E25" s="1">
        <v>16200</v>
      </c>
      <c r="F25" s="1">
        <v>0</v>
      </c>
      <c r="G25" s="1">
        <v>0</v>
      </c>
      <c r="H25" s="13">
        <f>G25-SUM(B25:F25)/5</f>
        <v>-7040</v>
      </c>
      <c r="I25" s="7">
        <f>H25/SUM(B25:F25)*5</f>
        <v>-1</v>
      </c>
      <c r="J25" s="1">
        <f>G25-(E25+C25)/2</f>
        <v>-8100</v>
      </c>
      <c r="K25" s="3">
        <f>J25/(C25+E25)*2</f>
        <v>-1</v>
      </c>
      <c r="M25" s="13">
        <f>E25-C25</f>
        <v>16200</v>
      </c>
      <c r="N25" s="3" t="e">
        <f>M25/C25</f>
        <v>#DIV/0!</v>
      </c>
      <c r="P25" s="5" t="e">
        <f>ABS(K25)/ABS(N25)</f>
        <v>#DIV/0!</v>
      </c>
      <c r="Q25" s="4" t="s">
        <v>30</v>
      </c>
    </row>
    <row r="26" spans="3:17" ht="13.5">
      <c r="C26" s="1">
        <f>90000+90000</f>
        <v>180000</v>
      </c>
      <c r="D26" s="1">
        <v>0</v>
      </c>
      <c r="E26" s="1">
        <f>5400+90000+63000+27000+54000</f>
        <v>239400</v>
      </c>
      <c r="F26" s="1">
        <v>0</v>
      </c>
      <c r="G26" s="1">
        <v>90000</v>
      </c>
      <c r="H26" s="13">
        <f>G26-SUM(B26:F26)/5</f>
        <v>6120</v>
      </c>
      <c r="I26" s="7">
        <f>H26/SUM(B26:F26)*5</f>
        <v>0.07296137339055794</v>
      </c>
      <c r="J26" s="1">
        <f>G26-(E26+C26)/2</f>
        <v>-119700</v>
      </c>
      <c r="K26" s="3">
        <f>J26/(C26+E26)*2</f>
        <v>-0.5708154506437768</v>
      </c>
      <c r="M26" s="13">
        <f>E26-C26</f>
        <v>59400</v>
      </c>
      <c r="N26" s="3">
        <f>M26/C26</f>
        <v>0.33</v>
      </c>
      <c r="P26" s="5">
        <f>ABS(K26)/ABS(N26)</f>
        <v>1.7297437898296266</v>
      </c>
      <c r="Q26" s="4"/>
    </row>
    <row r="27" spans="2:17" ht="13.5">
      <c r="B27" s="1">
        <v>100000</v>
      </c>
      <c r="C27" s="1">
        <v>150000</v>
      </c>
      <c r="D27" s="1">
        <f>91000+130000+30000</f>
        <v>251000</v>
      </c>
      <c r="E27" s="1">
        <v>150000</v>
      </c>
      <c r="F27" s="1">
        <v>16000</v>
      </c>
      <c r="G27" s="1">
        <v>380000</v>
      </c>
      <c r="H27" s="14">
        <f>G27-SUM(B27:F27)/5</f>
        <v>246600</v>
      </c>
      <c r="I27" s="10">
        <f>H27/SUM(B27:F27)*5</f>
        <v>1.8485757121439281</v>
      </c>
      <c r="J27" s="2">
        <f>G27-(E27+C27)/2</f>
        <v>230000</v>
      </c>
      <c r="K27" s="16">
        <f>J27/(C27+E27)*2</f>
        <v>1.5333333333333334</v>
      </c>
      <c r="M27" s="14">
        <f>E27-C27</f>
        <v>0</v>
      </c>
      <c r="N27" s="16">
        <f>M27/C27</f>
        <v>0</v>
      </c>
      <c r="P27" s="5" t="e">
        <f>ABS(K27)/ABS(N27)</f>
        <v>#DIV/0!</v>
      </c>
      <c r="Q27" s="4" t="s">
        <v>22</v>
      </c>
    </row>
    <row r="28" spans="1:7" ht="12">
      <c r="A28" s="6" t="s">
        <v>17</v>
      </c>
      <c r="B28" s="6">
        <f>SUM(B5:B27)</f>
        <v>2445000</v>
      </c>
      <c r="C28" s="6">
        <f>SUM(C5:C27)</f>
        <v>2722800</v>
      </c>
      <c r="D28" s="6">
        <f>SUM(D5:D27)</f>
        <v>2926700</v>
      </c>
      <c r="E28" s="6">
        <f>SUM(E5:E27)</f>
        <v>2623200</v>
      </c>
      <c r="F28" s="6">
        <f>SUM(F5:F27)</f>
        <v>2500900</v>
      </c>
      <c r="G28" s="6">
        <f>SUM(G5:G27)</f>
        <v>2625200</v>
      </c>
    </row>
    <row r="29" spans="2:9" ht="12">
      <c r="B29" s="15">
        <f>B5/B2</f>
        <v>0.07848266841072596</v>
      </c>
      <c r="C29" s="15">
        <f>C5/C2</f>
        <v>0.08756567425569177</v>
      </c>
      <c r="D29" s="15">
        <f>D5/D2</f>
        <v>0.1111111111111111</v>
      </c>
      <c r="E29" s="15">
        <f>E5/E2</f>
        <v>0.08611619396157365</v>
      </c>
      <c r="F29" s="15">
        <f>F5/F2</f>
        <v>0.132</v>
      </c>
      <c r="G29" s="15">
        <f>G5/G2</f>
        <v>0.13717421124828533</v>
      </c>
      <c r="I29" s="1" t="s">
        <v>5</v>
      </c>
    </row>
    <row r="30" spans="2:9" ht="12">
      <c r="B30" s="15">
        <f>B6/B2</f>
        <v>0.21092217135382604</v>
      </c>
      <c r="C30" s="15">
        <f>C6/C2</f>
        <v>0.2059982486865149</v>
      </c>
      <c r="D30" s="15">
        <f>D6/D2</f>
        <v>0.17777777777777778</v>
      </c>
      <c r="E30" s="15">
        <f>E6/E2</f>
        <v>0.15953796889295516</v>
      </c>
      <c r="F30" s="15">
        <f>F6/F2</f>
        <v>0.23364</v>
      </c>
      <c r="G30" s="15">
        <f>G6/G2</f>
        <v>0.2167352537722908</v>
      </c>
      <c r="I30" s="1" t="s">
        <v>21</v>
      </c>
    </row>
    <row r="31" spans="2:9" ht="12">
      <c r="B31" s="15">
        <f>B13/B2</f>
        <v>0.10055591890124264</v>
      </c>
      <c r="C31" s="15">
        <f>C13/C2</f>
        <v>0.15688849970811442</v>
      </c>
      <c r="D31" s="15">
        <f>D13/D2</f>
        <v>0.16683760683760684</v>
      </c>
      <c r="E31" s="15">
        <f>E13/E2</f>
        <v>0.11562214089661482</v>
      </c>
      <c r="F31" s="15">
        <f>F13/F2</f>
        <v>0.0836</v>
      </c>
      <c r="G31" s="15">
        <f>G13/G2</f>
        <v>0.06858710562414266</v>
      </c>
      <c r="I31" s="1" t="s">
        <v>10</v>
      </c>
    </row>
    <row r="32" spans="1:9" ht="12">
      <c r="A32" s="1" t="s">
        <v>25</v>
      </c>
      <c r="B32" s="15">
        <f>B19/B2</f>
        <v>0.04251144538914323</v>
      </c>
      <c r="C32" s="15">
        <f>C19/C2</f>
        <v>0.049912434325744305</v>
      </c>
      <c r="D32" s="15">
        <f>D19/D2</f>
        <v>0.035555555555555556</v>
      </c>
      <c r="E32" s="15">
        <f>E19/E2</f>
        <v>0.05558096980786825</v>
      </c>
      <c r="F32" s="15">
        <f>F19/F2</f>
        <v>0.066</v>
      </c>
      <c r="G32" s="15">
        <f>G19/G2</f>
        <v>0.09099222679469593</v>
      </c>
      <c r="I32" s="1" t="s">
        <v>26</v>
      </c>
    </row>
    <row r="33" spans="2:9" ht="12">
      <c r="B33" s="15">
        <f>SUM(B8:B11,B15)/B2</f>
        <v>0.10300850228907783</v>
      </c>
      <c r="C33" s="15">
        <f>SUM(C8:C11,C15)/C2</f>
        <v>0.1665936952714536</v>
      </c>
      <c r="D33" s="15">
        <f>SUM(D8:D11,D15)/D2</f>
        <v>0.10758974358974359</v>
      </c>
      <c r="E33" s="15">
        <f>SUM(E8:E11,E15)/E2</f>
        <v>0.21717749313815188</v>
      </c>
      <c r="F33" s="15">
        <f>SUM(F8:F11,F15)/F2</f>
        <v>0.08272</v>
      </c>
      <c r="G33" s="15">
        <f>SUM(G8:G11,G15)/G2</f>
        <v>0.09739368998628258</v>
      </c>
      <c r="I33" s="1" t="s">
        <v>15</v>
      </c>
    </row>
    <row r="34" ht="12.75">
      <c r="I34" s="1" t="s">
        <v>34</v>
      </c>
    </row>
    <row r="35" ht="12.75">
      <c r="I35" s="1" t="s">
        <v>18</v>
      </c>
    </row>
    <row r="36" ht="12.75">
      <c r="I36" s="1" t="s">
        <v>3</v>
      </c>
    </row>
    <row r="37" ht="12.75">
      <c r="A37" s="1" t="s">
        <v>20</v>
      </c>
    </row>
    <row r="38" ht="12.75">
      <c r="A38" s="1" t="s">
        <v>9</v>
      </c>
    </row>
    <row r="39" ht="12.75">
      <c r="A39" s="1" t="s">
        <v>24</v>
      </c>
    </row>
    <row r="40" ht="12.75">
      <c r="A40" s="1" t="s">
        <v>13</v>
      </c>
    </row>
    <row r="41" ht="12.75">
      <c r="A41" s="1" t="s">
        <v>32</v>
      </c>
    </row>
    <row r="42" ht="12.75">
      <c r="A42" s="1" t="s">
        <v>16</v>
      </c>
    </row>
    <row r="43" ht="12.75">
      <c r="A43" s="1" t="s">
        <v>35</v>
      </c>
    </row>
    <row r="44" ht="12.75">
      <c r="A44" s="1" t="s">
        <v>19</v>
      </c>
    </row>
    <row r="45" ht="12.75">
      <c r="A45" s="1" t="s">
        <v>8</v>
      </c>
    </row>
    <row r="46" ht="12.75">
      <c r="A46" s="1" t="s">
        <v>23</v>
      </c>
    </row>
  </sheetData>
  <dataValidations count="2">
    <dataValidation type="decimal" operator="notBetween" allowBlank="1" sqref="K5:K7">
      <formula1>-50</formula1>
      <formula2>+50</formula2>
    </dataValidation>
    <dataValidation errorStyle="information" type="decimal" operator="notBetween" showErrorMessage="1" error="zxcv" sqref="L5">
      <formula1>50</formula1>
      <formula2>100</formula2>
    </dataValidation>
  </dataValidations>
  <printOptions/>
  <pageMargins left="0.7875" right="0.7875" top="0.7875" bottom="0.7875" header="0.5" footer="0.5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ht="12"/>
    <row r="2" ht="12"/>
  </sheetData>
  <printOptions/>
  <pageMargins left="0.7875" right="0.7875" top="0.7875" bottom="0.7875" header="0.5" footer="0.5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ht="12"/>
    <row r="2" ht="12"/>
  </sheetData>
  <printOptions/>
  <pageMargins left="0.7875" right="0.7875" top="0.7875" bottom="0.7875" header="0.5" footer="0.5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Titkár</cp:lastModifiedBy>
  <cp:lastPrinted>2006-12-06T12:52:16Z</cp:lastPrinted>
  <dcterms:created xsi:type="dcterms:W3CDTF">2006-12-06T05:18:18Z</dcterms:created>
  <dcterms:modified xsi:type="dcterms:W3CDTF">2006-12-11T22:23:48Z</dcterms:modified>
  <cp:category/>
  <cp:version/>
  <cp:contentType/>
  <cp:contentStatus/>
  <cp:revision>1</cp:revision>
</cp:coreProperties>
</file>